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thieucolombier/Desktop/PERSO/TEMELIO/Developpement/Lozère/"/>
    </mc:Choice>
  </mc:AlternateContent>
  <xr:revisionPtr revIDLastSave="0" documentId="8_{BF97C12D-C7A6-C948-8E97-04F5FF8D2A09}" xr6:coauthVersionLast="47" xr6:coauthVersionMax="47" xr10:uidLastSave="{00000000-0000-0000-0000-000000000000}"/>
  <bookViews>
    <workbookView xWindow="0" yWindow="500" windowWidth="27980" windowHeight="15800" xr2:uid="{328D6DEA-3E24-2245-B1C9-1A44842E0BB9}"/>
  </bookViews>
  <sheets>
    <sheet name="Business Plan" sheetId="4" r:id="rId1"/>
    <sheet name="TRAVAUX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4" l="1"/>
  <c r="Q31" i="4"/>
  <c r="J23" i="4"/>
  <c r="E7" i="4"/>
  <c r="D28" i="4"/>
  <c r="E28" i="4"/>
  <c r="F28" i="4"/>
  <c r="G28" i="4"/>
  <c r="H28" i="4"/>
  <c r="M28" i="4"/>
  <c r="N28" i="4"/>
  <c r="O28" i="4"/>
  <c r="O27" i="4"/>
  <c r="N27" i="4"/>
  <c r="M27" i="4"/>
  <c r="L27" i="4"/>
  <c r="J27" i="4"/>
  <c r="K27" i="4"/>
  <c r="I27" i="4"/>
  <c r="H27" i="4"/>
  <c r="G27" i="4"/>
  <c r="F27" i="4"/>
  <c r="E27" i="4"/>
  <c r="D27" i="4"/>
  <c r="C27" i="4"/>
  <c r="C28" i="4"/>
  <c r="R8" i="6"/>
  <c r="Q8" i="6"/>
  <c r="S8" i="6" s="1"/>
  <c r="Q6" i="6"/>
  <c r="K9" i="6"/>
  <c r="E9" i="4"/>
  <c r="E10" i="4"/>
  <c r="K10" i="6"/>
  <c r="I10" i="6"/>
  <c r="R7" i="6"/>
  <c r="K7" i="6"/>
  <c r="Q7" i="6" s="1"/>
  <c r="R5" i="6"/>
  <c r="R10" i="6" s="1"/>
  <c r="R6" i="6"/>
  <c r="P6" i="6"/>
  <c r="K5" i="6"/>
  <c r="Q5" i="6" s="1"/>
  <c r="O11" i="6"/>
  <c r="N11" i="6"/>
  <c r="M11" i="6"/>
  <c r="L11" i="6"/>
  <c r="J11" i="6"/>
  <c r="H11" i="6"/>
  <c r="G11" i="6"/>
  <c r="F11" i="6"/>
  <c r="E11" i="6"/>
  <c r="C6" i="4"/>
  <c r="P27" i="4" l="1"/>
  <c r="S7" i="6"/>
  <c r="Q9" i="6"/>
  <c r="S9" i="6" s="1"/>
  <c r="Q10" i="6"/>
  <c r="S10" i="6" s="1"/>
  <c r="I11" i="6"/>
  <c r="S6" i="6"/>
  <c r="K11" i="6"/>
  <c r="S5" i="6"/>
  <c r="Q11" i="6" l="1"/>
  <c r="S11" i="6"/>
  <c r="C8" i="4" s="1"/>
  <c r="E22" i="4"/>
  <c r="F22" i="4"/>
  <c r="G22" i="4"/>
  <c r="H22" i="4"/>
  <c r="I22" i="4"/>
  <c r="I28" i="4" s="1"/>
  <c r="J22" i="4"/>
  <c r="J28" i="4" s="1"/>
  <c r="K22" i="4"/>
  <c r="K28" i="4" s="1"/>
  <c r="L22" i="4"/>
  <c r="L28" i="4" s="1"/>
  <c r="M22" i="4"/>
  <c r="N22" i="4"/>
  <c r="O22" i="4"/>
  <c r="D22" i="4"/>
  <c r="K23" i="4"/>
  <c r="J24" i="4"/>
  <c r="K24" i="4"/>
  <c r="J25" i="4"/>
  <c r="K25" i="4"/>
  <c r="J26" i="4"/>
  <c r="K26" i="4"/>
  <c r="I25" i="4"/>
  <c r="I26" i="4"/>
  <c r="I24" i="4"/>
  <c r="I23" i="4"/>
  <c r="E23" i="4"/>
  <c r="F23" i="4"/>
  <c r="G23" i="4"/>
  <c r="H23" i="4"/>
  <c r="L23" i="4"/>
  <c r="M23" i="4"/>
  <c r="N23" i="4"/>
  <c r="O23" i="4"/>
  <c r="E24" i="4"/>
  <c r="F24" i="4"/>
  <c r="G24" i="4"/>
  <c r="H24" i="4"/>
  <c r="L24" i="4"/>
  <c r="M24" i="4"/>
  <c r="N24" i="4"/>
  <c r="O24" i="4"/>
  <c r="E25" i="4"/>
  <c r="F25" i="4"/>
  <c r="G25" i="4"/>
  <c r="H25" i="4"/>
  <c r="L25" i="4"/>
  <c r="M25" i="4"/>
  <c r="N25" i="4"/>
  <c r="O25" i="4"/>
  <c r="E26" i="4"/>
  <c r="F26" i="4"/>
  <c r="G26" i="4"/>
  <c r="H26" i="4"/>
  <c r="L26" i="4"/>
  <c r="M26" i="4"/>
  <c r="N26" i="4"/>
  <c r="O26" i="4"/>
  <c r="D25" i="4"/>
  <c r="D26" i="4"/>
  <c r="D24" i="4"/>
  <c r="D23" i="4"/>
  <c r="C25" i="4"/>
  <c r="C26" i="4"/>
  <c r="C24" i="4"/>
  <c r="P31" i="4"/>
  <c r="P20" i="4"/>
  <c r="J29" i="4" l="1"/>
  <c r="J32" i="4" s="1"/>
  <c r="P28" i="4"/>
  <c r="M29" i="4"/>
  <c r="M32" i="4" s="1"/>
  <c r="K29" i="4"/>
  <c r="K32" i="4" s="1"/>
  <c r="E29" i="4"/>
  <c r="E32" i="4" s="1"/>
  <c r="G29" i="4"/>
  <c r="G32" i="4" s="1"/>
  <c r="F29" i="4"/>
  <c r="F32" i="4" s="1"/>
  <c r="N29" i="4"/>
  <c r="N32" i="4" s="1"/>
  <c r="O29" i="4"/>
  <c r="O32" i="4" s="1"/>
  <c r="D29" i="4"/>
  <c r="D32" i="4" s="1"/>
  <c r="L29" i="4"/>
  <c r="L32" i="4" s="1"/>
  <c r="I29" i="4"/>
  <c r="I32" i="4" s="1"/>
  <c r="H29" i="4"/>
  <c r="H32" i="4" s="1"/>
  <c r="P25" i="4"/>
  <c r="P26" i="4"/>
  <c r="P24" i="4"/>
  <c r="C11" i="4"/>
  <c r="E8" i="4"/>
  <c r="E6" i="4"/>
  <c r="P23" i="4"/>
  <c r="P21" i="4" l="1"/>
  <c r="P22" i="4" s="1"/>
  <c r="P32" i="4"/>
  <c r="C12" i="4"/>
  <c r="E11" i="4"/>
  <c r="P29" i="4"/>
  <c r="Q29" i="4" l="1"/>
  <c r="C13" i="4"/>
  <c r="C14" i="4" s="1"/>
  <c r="M11" i="4"/>
  <c r="M12" i="4" s="1"/>
  <c r="M13" i="4" s="1"/>
  <c r="D30" i="4" l="1"/>
  <c r="L30" i="4"/>
  <c r="L33" i="4" s="1"/>
  <c r="L34" i="4" s="1"/>
  <c r="O30" i="4"/>
  <c r="O33" i="4" s="1"/>
  <c r="O34" i="4" s="1"/>
  <c r="N30" i="4"/>
  <c r="N33" i="4" s="1"/>
  <c r="N34" i="4" s="1"/>
  <c r="M30" i="4"/>
  <c r="M33" i="4" s="1"/>
  <c r="M34" i="4" s="1"/>
  <c r="K30" i="4"/>
  <c r="K33" i="4" s="1"/>
  <c r="K34" i="4" s="1"/>
  <c r="G30" i="4"/>
  <c r="G33" i="4" s="1"/>
  <c r="G34" i="4" s="1"/>
  <c r="E30" i="4"/>
  <c r="E33" i="4" s="1"/>
  <c r="E34" i="4" s="1"/>
  <c r="J30" i="4"/>
  <c r="J33" i="4" s="1"/>
  <c r="J34" i="4" s="1"/>
  <c r="H30" i="4"/>
  <c r="H33" i="4" s="1"/>
  <c r="H34" i="4" s="1"/>
  <c r="F30" i="4"/>
  <c r="F33" i="4" s="1"/>
  <c r="F34" i="4" s="1"/>
  <c r="I30" i="4"/>
  <c r="I33" i="4" s="1"/>
  <c r="I34" i="4" s="1"/>
  <c r="D33" i="4" l="1"/>
  <c r="P30" i="4"/>
  <c r="C15" i="4" s="1"/>
  <c r="D34" i="4" l="1"/>
  <c r="P34" i="4" s="1"/>
  <c r="P33" i="4"/>
</calcChain>
</file>

<file path=xl/sharedStrings.xml><?xml version="1.0" encoding="utf-8"?>
<sst xmlns="http://schemas.openxmlformats.org/spreadsheetml/2006/main" count="74" uniqueCount="66">
  <si>
    <t>Nombre de jours</t>
  </si>
  <si>
    <t>Nombre de réservation (en jours)</t>
  </si>
  <si>
    <t>Taux d'occupation</t>
  </si>
  <si>
    <t>Haute saison</t>
  </si>
  <si>
    <t>Basse saison</t>
  </si>
  <si>
    <t>TOTAL</t>
  </si>
  <si>
    <t>Acquisition + frais de notaire</t>
  </si>
  <si>
    <t xml:space="preserve">Taxe foncière </t>
  </si>
  <si>
    <t>Electricité</t>
  </si>
  <si>
    <t>Assurance</t>
  </si>
  <si>
    <t>Divers entretien</t>
  </si>
  <si>
    <t>Internet</t>
  </si>
  <si>
    <t>TOTAL/AN</t>
  </si>
  <si>
    <t>TOTAL/mois</t>
  </si>
  <si>
    <t>Coûts Fixes</t>
  </si>
  <si>
    <t>Remboursement prêt</t>
  </si>
  <si>
    <t>OCCUPATION</t>
  </si>
  <si>
    <t>DEPENSES</t>
  </si>
  <si>
    <t>REVENUS NETS</t>
  </si>
  <si>
    <t>REVENUS BRUTS</t>
  </si>
  <si>
    <t>LES PRIX/NUIT</t>
  </si>
  <si>
    <t>Extérieurs (jardin, espace verts)</t>
  </si>
  <si>
    <t>Spa + piscine</t>
  </si>
  <si>
    <t>COÛTS FIXES 2022-2023</t>
  </si>
  <si>
    <t>Expert comptable</t>
  </si>
  <si>
    <t>Chalet</t>
  </si>
  <si>
    <t>Bergerie 50m2</t>
  </si>
  <si>
    <t>Rentabilité</t>
  </si>
  <si>
    <t>Prêt</t>
  </si>
  <si>
    <t>Frais de conciergerie</t>
  </si>
  <si>
    <t>Frais temelio 10%</t>
  </si>
  <si>
    <t>Bâtisse principale 210m2</t>
  </si>
  <si>
    <t>Bergerie</t>
  </si>
  <si>
    <t>Maçonnerie/démolition</t>
  </si>
  <si>
    <t>Cuisine</t>
  </si>
  <si>
    <t>Menuiseries extérieures</t>
  </si>
  <si>
    <t>Menuiseries intérieures</t>
  </si>
  <si>
    <t>Peintures</t>
  </si>
  <si>
    <t>Placo</t>
  </si>
  <si>
    <t>Système de chauffage</t>
  </si>
  <si>
    <t>Isolation/ façade</t>
  </si>
  <si>
    <t>Aléas travaux 10%</t>
  </si>
  <si>
    <t>T3</t>
  </si>
  <si>
    <t>Porcherie</t>
  </si>
  <si>
    <t>Grande bâtisse RDC</t>
  </si>
  <si>
    <t>Mobilier</t>
  </si>
  <si>
    <t>Studio</t>
  </si>
  <si>
    <t>2 studios</t>
  </si>
  <si>
    <t>Plomberie/ équipement</t>
  </si>
  <si>
    <t>Sols/ faïence</t>
  </si>
  <si>
    <t>Terrasse/ extérieurs</t>
  </si>
  <si>
    <t>TRAVAUX INTERIEURS</t>
  </si>
  <si>
    <t>Grande bâtisse R+1</t>
  </si>
  <si>
    <t>Porcherie 45m2</t>
  </si>
  <si>
    <t>Cabanes</t>
  </si>
  <si>
    <t>2 Studios RDC</t>
  </si>
  <si>
    <t>Apport</t>
  </si>
  <si>
    <t>Réserve d'argent</t>
  </si>
  <si>
    <t>5 chambres</t>
  </si>
  <si>
    <t>MONTANT TOTAL PROJET</t>
  </si>
  <si>
    <t>3 Chalets existants</t>
  </si>
  <si>
    <t>Salle de réception + sanitaires commun</t>
  </si>
  <si>
    <t>3 chalets</t>
  </si>
  <si>
    <t>Frais de gestion temelio</t>
  </si>
  <si>
    <t>Intérêts estimés</t>
  </si>
  <si>
    <t>(Loyers brut-charges-interêts)/Apport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</si>
</sst>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164" fontId="0" fillId="0" borderId="7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164" fontId="0" fillId="3" borderId="10" xfId="0" applyNumberFormat="1" applyFill="1" applyBorder="1" applyAlignment="1">
      <alignment horizontal="center" vertical="center"/>
    </xf>
    <xf numFmtId="17" fontId="1" fillId="2" borderId="16" xfId="0" applyNumberFormat="1" applyFont="1" applyFill="1" applyBorder="1" applyAlignment="1">
      <alignment horizontal="center" vertical="center"/>
    </xf>
    <xf numFmtId="17" fontId="1" fillId="2" borderId="14" xfId="0" applyNumberFormat="1" applyFont="1" applyFill="1" applyBorder="1" applyAlignment="1">
      <alignment horizontal="center" vertical="center"/>
    </xf>
    <xf numFmtId="17" fontId="1" fillId="3" borderId="14" xfId="0" applyNumberFormat="1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3" fontId="0" fillId="0" borderId="29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3" fontId="0" fillId="0" borderId="20" xfId="0" applyNumberFormat="1" applyBorder="1" applyAlignment="1">
      <alignment horizontal="center" vertical="center"/>
    </xf>
    <xf numFmtId="9" fontId="0" fillId="0" borderId="23" xfId="0" applyNumberFormat="1" applyBorder="1" applyAlignment="1">
      <alignment horizontal="center" vertical="center"/>
    </xf>
    <xf numFmtId="164" fontId="0" fillId="0" borderId="30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29" xfId="0" applyNumberFormat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164" fontId="0" fillId="0" borderId="18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0" fillId="0" borderId="14" xfId="0" applyNumberFormat="1" applyBorder="1" applyAlignment="1">
      <alignment horizontal="center" vertical="center"/>
    </xf>
    <xf numFmtId="164" fontId="0" fillId="0" borderId="30" xfId="0" applyNumberFormat="1" applyFont="1" applyBorder="1" applyAlignment="1">
      <alignment horizontal="center" vertical="center"/>
    </xf>
    <xf numFmtId="164" fontId="0" fillId="4" borderId="27" xfId="0" applyNumberFormat="1" applyFill="1" applyBorder="1" applyAlignment="1">
      <alignment horizontal="center" vertical="center"/>
    </xf>
    <xf numFmtId="164" fontId="0" fillId="4" borderId="28" xfId="0" applyNumberFormat="1" applyFill="1" applyBorder="1" applyAlignment="1">
      <alignment horizontal="center" vertical="center"/>
    </xf>
    <xf numFmtId="164" fontId="0" fillId="4" borderId="36" xfId="0" applyNumberFormat="1" applyFill="1" applyBorder="1" applyAlignment="1">
      <alignment horizontal="center" vertical="center"/>
    </xf>
    <xf numFmtId="164" fontId="0" fillId="4" borderId="26" xfId="0" applyNumberForma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9" fontId="0" fillId="0" borderId="22" xfId="0" applyNumberFormat="1" applyBorder="1" applyAlignment="1">
      <alignment horizontal="center" vertical="center"/>
    </xf>
    <xf numFmtId="164" fontId="0" fillId="0" borderId="26" xfId="0" applyNumberFormat="1" applyBorder="1" applyAlignment="1">
      <alignment horizontal="center" vertical="center"/>
    </xf>
    <xf numFmtId="0" fontId="0" fillId="0" borderId="48" xfId="0" applyFill="1" applyBorder="1" applyAlignment="1">
      <alignment horizontal="center" vertical="center" wrapText="1"/>
    </xf>
    <xf numFmtId="164" fontId="0" fillId="0" borderId="49" xfId="0" applyNumberFormat="1" applyFill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164" fontId="0" fillId="0" borderId="17" xfId="0" applyNumberForma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1" fontId="4" fillId="0" borderId="16" xfId="0" applyNumberFormat="1" applyFont="1" applyBorder="1" applyAlignment="1">
      <alignment horizontal="center" vertical="center" wrapText="1"/>
    </xf>
    <xf numFmtId="164" fontId="0" fillId="0" borderId="23" xfId="0" applyNumberForma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50" xfId="0" applyBorder="1"/>
    <xf numFmtId="0" fontId="0" fillId="0" borderId="11" xfId="0" applyBorder="1"/>
    <xf numFmtId="164" fontId="0" fillId="0" borderId="1" xfId="0" applyNumberFormat="1" applyBorder="1"/>
    <xf numFmtId="0" fontId="0" fillId="0" borderId="1" xfId="0" applyBorder="1"/>
    <xf numFmtId="164" fontId="1" fillId="0" borderId="14" xfId="0" applyNumberFormat="1" applyFont="1" applyBorder="1"/>
    <xf numFmtId="164" fontId="0" fillId="0" borderId="27" xfId="0" applyNumberFormat="1" applyBorder="1" applyAlignment="1">
      <alignment horizontal="center" vertical="center"/>
    </xf>
    <xf numFmtId="164" fontId="0" fillId="0" borderId="28" xfId="0" applyNumberFormat="1" applyBorder="1" applyAlignment="1">
      <alignment horizontal="center" vertical="center"/>
    </xf>
    <xf numFmtId="164" fontId="0" fillId="0" borderId="36" xfId="0" applyNumberFormat="1" applyBorder="1" applyAlignment="1">
      <alignment horizontal="center" vertical="center"/>
    </xf>
    <xf numFmtId="164" fontId="1" fillId="0" borderId="43" xfId="0" applyNumberFormat="1" applyFont="1" applyBorder="1" applyAlignment="1">
      <alignment horizontal="center" vertical="center"/>
    </xf>
    <xf numFmtId="164" fontId="0" fillId="0" borderId="42" xfId="0" applyNumberForma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17" fontId="1" fillId="2" borderId="45" xfId="0" applyNumberFormat="1" applyFont="1" applyFill="1" applyBorder="1" applyAlignment="1">
      <alignment horizontal="center" vertical="center"/>
    </xf>
    <xf numFmtId="9" fontId="0" fillId="0" borderId="51" xfId="0" applyNumberFormat="1" applyBorder="1" applyAlignment="1">
      <alignment horizontal="center" vertical="center"/>
    </xf>
    <xf numFmtId="164" fontId="0" fillId="0" borderId="52" xfId="0" applyNumberFormat="1" applyBorder="1" applyAlignment="1">
      <alignment horizontal="center" vertical="center"/>
    </xf>
    <xf numFmtId="164" fontId="0" fillId="0" borderId="31" xfId="0" applyNumberFormat="1" applyBorder="1" applyAlignment="1">
      <alignment horizontal="center" vertical="center"/>
    </xf>
    <xf numFmtId="164" fontId="0" fillId="0" borderId="53" xfId="0" applyNumberForma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0" fillId="0" borderId="52" xfId="0" applyNumberFormat="1" applyFon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164" fontId="0" fillId="0" borderId="10" xfId="0" applyNumberFormat="1" applyBorder="1"/>
    <xf numFmtId="0" fontId="0" fillId="0" borderId="44" xfId="0" applyBorder="1" applyAlignment="1">
      <alignment horizontal="center" vertical="center" wrapText="1"/>
    </xf>
    <xf numFmtId="164" fontId="0" fillId="0" borderId="54" xfId="0" applyNumberFormat="1" applyBorder="1" applyAlignment="1">
      <alignment horizontal="center" vertical="center" wrapText="1"/>
    </xf>
    <xf numFmtId="164" fontId="0" fillId="0" borderId="41" xfId="0" applyNumberFormat="1" applyBorder="1" applyAlignment="1">
      <alignment vertical="center" wrapText="1"/>
    </xf>
    <xf numFmtId="10" fontId="0" fillId="0" borderId="46" xfId="0" applyNumberFormat="1" applyBorder="1" applyAlignment="1">
      <alignment vertical="center" wrapText="1"/>
    </xf>
    <xf numFmtId="164" fontId="0" fillId="0" borderId="47" xfId="0" applyNumberFormat="1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10" fontId="1" fillId="0" borderId="0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164" fontId="1" fillId="0" borderId="33" xfId="0" applyNumberFormat="1" applyFont="1" applyBorder="1" applyAlignment="1">
      <alignment horizontal="center" vertical="center" wrapText="1"/>
    </xf>
    <xf numFmtId="164" fontId="1" fillId="0" borderId="37" xfId="0" applyNumberFormat="1" applyFont="1" applyBorder="1" applyAlignment="1">
      <alignment horizontal="center" vertical="center" wrapText="1"/>
    </xf>
    <xf numFmtId="164" fontId="1" fillId="0" borderId="26" xfId="0" applyNumberFormat="1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/>
    </xf>
    <xf numFmtId="0" fontId="1" fillId="0" borderId="1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B2C50-FD90-B04A-AD42-4AE7AFC83292}">
  <dimension ref="B3:R34"/>
  <sheetViews>
    <sheetView tabSelected="1" topLeftCell="A3" workbookViewId="0">
      <selection activeCell="I7" sqref="I7"/>
    </sheetView>
  </sheetViews>
  <sheetFormatPr baseColWidth="10" defaultRowHeight="16" x14ac:dyDescent="0.2"/>
  <cols>
    <col min="2" max="2" width="13.5" style="60" customWidth="1"/>
    <col min="3" max="3" width="19.33203125" style="60" customWidth="1"/>
    <col min="4" max="11" width="9.33203125" customWidth="1"/>
    <col min="12" max="12" width="11.33203125" bestFit="1" customWidth="1"/>
    <col min="13" max="13" width="11.6640625" customWidth="1"/>
    <col min="14" max="15" width="9.33203125" customWidth="1"/>
    <col min="16" max="16" width="12.33203125" customWidth="1"/>
  </cols>
  <sheetData>
    <row r="3" spans="2:13" ht="17" thickBot="1" x14ac:dyDescent="0.25"/>
    <row r="4" spans="2:13" ht="17" thickBot="1" x14ac:dyDescent="0.25">
      <c r="B4" s="123" t="s">
        <v>59</v>
      </c>
      <c r="C4" s="124"/>
      <c r="D4" s="124"/>
      <c r="E4" s="125"/>
      <c r="G4" s="123" t="s">
        <v>20</v>
      </c>
      <c r="H4" s="124"/>
      <c r="I4" s="125"/>
      <c r="L4" s="126" t="s">
        <v>23</v>
      </c>
      <c r="M4" s="127"/>
    </row>
    <row r="5" spans="2:13" ht="35" thickBot="1" x14ac:dyDescent="0.25">
      <c r="B5" s="63"/>
      <c r="C5" s="65">
        <v>2023</v>
      </c>
      <c r="D5" s="58">
        <v>2023</v>
      </c>
      <c r="E5" s="59" t="s">
        <v>5</v>
      </c>
      <c r="G5" s="35"/>
      <c r="H5" s="36" t="s">
        <v>4</v>
      </c>
      <c r="I5" s="37" t="s">
        <v>3</v>
      </c>
      <c r="L5" s="50" t="s">
        <v>7</v>
      </c>
      <c r="M5" s="49">
        <v>1000</v>
      </c>
    </row>
    <row r="6" spans="2:13" ht="52" thickBot="1" x14ac:dyDescent="0.25">
      <c r="B6" s="64" t="s">
        <v>6</v>
      </c>
      <c r="C6" s="61">
        <f>630000*1.11</f>
        <v>699300.00000000012</v>
      </c>
      <c r="D6" s="26"/>
      <c r="E6" s="27">
        <f t="shared" ref="E6:E11" si="0">SUM(C6:D6)</f>
        <v>699300.00000000012</v>
      </c>
      <c r="G6" s="2" t="s">
        <v>25</v>
      </c>
      <c r="H6" s="7">
        <v>55</v>
      </c>
      <c r="I6" s="8">
        <v>85</v>
      </c>
      <c r="L6" s="51" t="s">
        <v>8</v>
      </c>
      <c r="M6" s="1">
        <f>6*500</f>
        <v>3000</v>
      </c>
    </row>
    <row r="7" spans="2:13" ht="52" thickBot="1" x14ac:dyDescent="0.25">
      <c r="B7" s="64" t="s">
        <v>57</v>
      </c>
      <c r="C7" s="61">
        <v>40000</v>
      </c>
      <c r="D7" s="26"/>
      <c r="E7" s="27">
        <f t="shared" si="0"/>
        <v>40000</v>
      </c>
      <c r="G7" s="3" t="s">
        <v>31</v>
      </c>
      <c r="H7" s="11">
        <v>260</v>
      </c>
      <c r="I7" s="12">
        <v>390</v>
      </c>
      <c r="L7" s="51" t="s">
        <v>9</v>
      </c>
      <c r="M7" s="1">
        <v>700</v>
      </c>
    </row>
    <row r="8" spans="2:13" ht="35" thickBot="1" x14ac:dyDescent="0.25">
      <c r="B8" s="32" t="s">
        <v>51</v>
      </c>
      <c r="C8" s="33">
        <f>TRAVAUX!S11</f>
        <v>230000</v>
      </c>
      <c r="D8" s="34"/>
      <c r="E8" s="27">
        <f t="shared" si="0"/>
        <v>230000</v>
      </c>
      <c r="G8" s="3" t="s">
        <v>26</v>
      </c>
      <c r="H8" s="11">
        <v>80</v>
      </c>
      <c r="I8" s="12">
        <v>120</v>
      </c>
      <c r="L8" s="51" t="s">
        <v>10</v>
      </c>
      <c r="M8" s="1">
        <v>6000</v>
      </c>
    </row>
    <row r="9" spans="2:13" ht="52" thickBot="1" x14ac:dyDescent="0.25">
      <c r="B9" s="48" t="s">
        <v>21</v>
      </c>
      <c r="C9" s="33">
        <v>40000</v>
      </c>
      <c r="D9" s="29"/>
      <c r="E9" s="27">
        <f t="shared" si="0"/>
        <v>40000</v>
      </c>
      <c r="G9" s="3" t="s">
        <v>53</v>
      </c>
      <c r="H9" s="11">
        <v>75</v>
      </c>
      <c r="I9" s="12">
        <v>95</v>
      </c>
      <c r="L9" s="56" t="s">
        <v>24</v>
      </c>
      <c r="M9" s="57">
        <v>1100</v>
      </c>
    </row>
    <row r="10" spans="2:13" ht="35" thickBot="1" x14ac:dyDescent="0.25">
      <c r="B10" s="48" t="s">
        <v>22</v>
      </c>
      <c r="C10" s="66">
        <v>40000</v>
      </c>
      <c r="D10" s="30"/>
      <c r="E10" s="27">
        <f t="shared" si="0"/>
        <v>40000</v>
      </c>
      <c r="G10" s="3" t="s">
        <v>55</v>
      </c>
      <c r="H10" s="11">
        <v>55</v>
      </c>
      <c r="I10" s="12">
        <v>65</v>
      </c>
      <c r="L10" s="51" t="s">
        <v>11</v>
      </c>
      <c r="M10" s="1">
        <v>350</v>
      </c>
    </row>
    <row r="11" spans="2:13" ht="52" thickBot="1" x14ac:dyDescent="0.25">
      <c r="B11" s="48" t="s">
        <v>30</v>
      </c>
      <c r="C11" s="66">
        <f>SUM(C6:C10)*10%</f>
        <v>104930</v>
      </c>
      <c r="D11" s="30"/>
      <c r="E11" s="27">
        <f t="shared" si="0"/>
        <v>104930</v>
      </c>
      <c r="G11" s="3" t="s">
        <v>54</v>
      </c>
      <c r="H11" s="11"/>
      <c r="I11" s="12"/>
      <c r="L11" s="100" t="s">
        <v>63</v>
      </c>
      <c r="M11" s="101">
        <f>1%*C12</f>
        <v>11542.300000000001</v>
      </c>
    </row>
    <row r="12" spans="2:13" ht="18" thickBot="1" x14ac:dyDescent="0.25">
      <c r="B12" s="102" t="s">
        <v>5</v>
      </c>
      <c r="C12" s="103">
        <f>SUM(C6:C11)</f>
        <v>1154230</v>
      </c>
      <c r="D12" s="41"/>
      <c r="E12" s="75"/>
      <c r="L12" s="52" t="s">
        <v>12</v>
      </c>
      <c r="M12" s="38">
        <f>SUM(M5:M11)</f>
        <v>23692.300000000003</v>
      </c>
    </row>
    <row r="13" spans="2:13" ht="18" thickBot="1" x14ac:dyDescent="0.25">
      <c r="B13" s="107" t="s">
        <v>28</v>
      </c>
      <c r="C13" s="104">
        <f>C12*60%</f>
        <v>692538</v>
      </c>
      <c r="D13" s="31"/>
      <c r="E13" s="31"/>
      <c r="L13" s="53" t="s">
        <v>13</v>
      </c>
      <c r="M13" s="39">
        <f>M12/12</f>
        <v>1974.3583333333336</v>
      </c>
    </row>
    <row r="14" spans="2:13" ht="18" thickBot="1" x14ac:dyDescent="0.25">
      <c r="B14" s="109" t="s">
        <v>56</v>
      </c>
      <c r="C14" s="106">
        <f>C12-C13</f>
        <v>461692</v>
      </c>
      <c r="D14" s="31"/>
      <c r="E14" s="31"/>
    </row>
    <row r="15" spans="2:13" ht="17" x14ac:dyDescent="0.2">
      <c r="B15" s="108" t="s">
        <v>27</v>
      </c>
      <c r="C15" s="105">
        <f>(P29-Q31-P30-P32)/C14</f>
        <v>7.0450646751513996E-2</v>
      </c>
      <c r="D15" t="s">
        <v>65</v>
      </c>
    </row>
    <row r="17" spans="2:18" ht="17" thickBot="1" x14ac:dyDescent="0.25"/>
    <row r="18" spans="2:18" ht="22" thickBot="1" x14ac:dyDescent="0.25">
      <c r="B18" s="40"/>
      <c r="C18" s="112">
        <v>2023</v>
      </c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4"/>
    </row>
    <row r="19" spans="2:18" ht="17" thickBot="1" x14ac:dyDescent="0.25">
      <c r="B19" s="40"/>
      <c r="C19" s="47"/>
      <c r="D19" s="13">
        <v>44927</v>
      </c>
      <c r="E19" s="14">
        <v>44958</v>
      </c>
      <c r="F19" s="14">
        <v>44986</v>
      </c>
      <c r="G19" s="14">
        <v>45017</v>
      </c>
      <c r="H19" s="14">
        <v>45047</v>
      </c>
      <c r="I19" s="15">
        <v>45078</v>
      </c>
      <c r="J19" s="15">
        <v>45108</v>
      </c>
      <c r="K19" s="15">
        <v>45139</v>
      </c>
      <c r="L19" s="14">
        <v>45170</v>
      </c>
      <c r="M19" s="14">
        <v>45200</v>
      </c>
      <c r="N19" s="14">
        <v>45231</v>
      </c>
      <c r="O19" s="90">
        <v>45261</v>
      </c>
      <c r="P19" s="4"/>
    </row>
    <row r="20" spans="2:18" ht="17" x14ac:dyDescent="0.2">
      <c r="B20" s="115" t="s">
        <v>16</v>
      </c>
      <c r="C20" s="62" t="s">
        <v>0</v>
      </c>
      <c r="D20" s="5">
        <v>31</v>
      </c>
      <c r="E20" s="6">
        <v>28</v>
      </c>
      <c r="F20" s="6">
        <v>31</v>
      </c>
      <c r="G20" s="6">
        <v>30</v>
      </c>
      <c r="H20" s="6">
        <v>31</v>
      </c>
      <c r="I20" s="6">
        <v>30</v>
      </c>
      <c r="J20" s="6">
        <v>31</v>
      </c>
      <c r="K20" s="6">
        <v>31</v>
      </c>
      <c r="L20" s="6">
        <v>30</v>
      </c>
      <c r="M20" s="6">
        <v>31</v>
      </c>
      <c r="N20" s="6">
        <v>30</v>
      </c>
      <c r="O20" s="16">
        <v>31</v>
      </c>
      <c r="P20" s="17">
        <f>SUM(D20:O20)</f>
        <v>365</v>
      </c>
    </row>
    <row r="21" spans="2:18" ht="34" x14ac:dyDescent="0.2">
      <c r="B21" s="116"/>
      <c r="C21" s="69" t="s">
        <v>1</v>
      </c>
      <c r="D21" s="9"/>
      <c r="E21" s="10"/>
      <c r="F21" s="10"/>
      <c r="G21" s="10"/>
      <c r="H21" s="10">
        <v>8</v>
      </c>
      <c r="I21" s="10">
        <v>10</v>
      </c>
      <c r="J21" s="10">
        <v>27</v>
      </c>
      <c r="K21" s="10">
        <v>27</v>
      </c>
      <c r="L21" s="10">
        <v>12</v>
      </c>
      <c r="M21" s="10">
        <v>8</v>
      </c>
      <c r="N21" s="10"/>
      <c r="O21" s="18"/>
      <c r="P21" s="19">
        <f>SUM(D21:O21)</f>
        <v>92</v>
      </c>
    </row>
    <row r="22" spans="2:18" ht="18" thickBot="1" x14ac:dyDescent="0.25">
      <c r="B22" s="117"/>
      <c r="C22" s="67" t="s">
        <v>2</v>
      </c>
      <c r="D22" s="20">
        <f>D21/D20</f>
        <v>0</v>
      </c>
      <c r="E22" s="20">
        <f t="shared" ref="E22:O22" si="1">E21/E20</f>
        <v>0</v>
      </c>
      <c r="F22" s="20">
        <f t="shared" si="1"/>
        <v>0</v>
      </c>
      <c r="G22" s="20">
        <f t="shared" si="1"/>
        <v>0</v>
      </c>
      <c r="H22" s="20">
        <f t="shared" si="1"/>
        <v>0.25806451612903225</v>
      </c>
      <c r="I22" s="20">
        <f t="shared" si="1"/>
        <v>0.33333333333333331</v>
      </c>
      <c r="J22" s="20">
        <f t="shared" si="1"/>
        <v>0.87096774193548387</v>
      </c>
      <c r="K22" s="20">
        <f t="shared" si="1"/>
        <v>0.87096774193548387</v>
      </c>
      <c r="L22" s="20">
        <f t="shared" si="1"/>
        <v>0.4</v>
      </c>
      <c r="M22" s="20">
        <f t="shared" si="1"/>
        <v>0.25806451612903225</v>
      </c>
      <c r="N22" s="20">
        <f t="shared" si="1"/>
        <v>0</v>
      </c>
      <c r="O22" s="91">
        <f t="shared" si="1"/>
        <v>0</v>
      </c>
      <c r="P22" s="54">
        <f>P21/P20</f>
        <v>0.25205479452054796</v>
      </c>
    </row>
    <row r="23" spans="2:18" ht="17" x14ac:dyDescent="0.2">
      <c r="B23" s="118" t="s">
        <v>19</v>
      </c>
      <c r="C23" s="70" t="s">
        <v>62</v>
      </c>
      <c r="D23" s="21">
        <f>3*D$21*$H6</f>
        <v>0</v>
      </c>
      <c r="E23" s="22">
        <f>3*E$21*$H6</f>
        <v>0</v>
      </c>
      <c r="F23" s="22">
        <f>3*F$21*$H6</f>
        <v>0</v>
      </c>
      <c r="G23" s="22">
        <f>3*G$21*$H6</f>
        <v>0</v>
      </c>
      <c r="H23" s="22">
        <f>3*H$21*$H6</f>
        <v>1320</v>
      </c>
      <c r="I23" s="22">
        <f>3*I$21*$I6</f>
        <v>2550</v>
      </c>
      <c r="J23" s="22">
        <f>3*J$21*$I6</f>
        <v>6885</v>
      </c>
      <c r="K23" s="22">
        <f>3*K$21*$I6</f>
        <v>6885</v>
      </c>
      <c r="L23" s="22">
        <f>3*L$21*$H6</f>
        <v>1980</v>
      </c>
      <c r="M23" s="22">
        <f>3*M$21*$H6</f>
        <v>1320</v>
      </c>
      <c r="N23" s="22">
        <f>3*N$21*$H6</f>
        <v>0</v>
      </c>
      <c r="O23" s="92">
        <f>3*O$21*$H6</f>
        <v>0</v>
      </c>
      <c r="P23" s="23">
        <f t="shared" ref="P23:P34" si="2">SUM(D23:O23)</f>
        <v>20940</v>
      </c>
    </row>
    <row r="24" spans="2:18" ht="34" x14ac:dyDescent="0.2">
      <c r="B24" s="119"/>
      <c r="C24" s="72" t="str">
        <f t="shared" ref="C24:C28" si="3">G7</f>
        <v>Bâtisse principale 210m2</v>
      </c>
      <c r="D24" s="28">
        <f t="shared" ref="D24:H26" si="4">D$21*$H7</f>
        <v>0</v>
      </c>
      <c r="E24" s="29">
        <f t="shared" si="4"/>
        <v>0</v>
      </c>
      <c r="F24" s="29">
        <f t="shared" si="4"/>
        <v>0</v>
      </c>
      <c r="G24" s="29">
        <f t="shared" si="4"/>
        <v>0</v>
      </c>
      <c r="H24" s="29">
        <f t="shared" si="4"/>
        <v>2080</v>
      </c>
      <c r="I24" s="29">
        <f t="shared" ref="I24:K26" si="5">I$21*$I7</f>
        <v>3900</v>
      </c>
      <c r="J24" s="29">
        <f t="shared" si="5"/>
        <v>10530</v>
      </c>
      <c r="K24" s="29">
        <f t="shared" si="5"/>
        <v>10530</v>
      </c>
      <c r="L24" s="29">
        <f t="shared" ref="L24:O26" si="6">L$21*$H7</f>
        <v>3120</v>
      </c>
      <c r="M24" s="29">
        <f t="shared" si="6"/>
        <v>2080</v>
      </c>
      <c r="N24" s="29">
        <f t="shared" si="6"/>
        <v>0</v>
      </c>
      <c r="O24" s="93">
        <f t="shared" si="6"/>
        <v>0</v>
      </c>
      <c r="P24" s="97">
        <f t="shared" si="2"/>
        <v>32240</v>
      </c>
    </row>
    <row r="25" spans="2:18" ht="17" x14ac:dyDescent="0.2">
      <c r="B25" s="119"/>
      <c r="C25" s="72" t="str">
        <f t="shared" si="3"/>
        <v>Bergerie 50m2</v>
      </c>
      <c r="D25" s="28">
        <f t="shared" si="4"/>
        <v>0</v>
      </c>
      <c r="E25" s="29">
        <f t="shared" si="4"/>
        <v>0</v>
      </c>
      <c r="F25" s="29">
        <f t="shared" si="4"/>
        <v>0</v>
      </c>
      <c r="G25" s="29">
        <f t="shared" si="4"/>
        <v>0</v>
      </c>
      <c r="H25" s="29">
        <f t="shared" si="4"/>
        <v>640</v>
      </c>
      <c r="I25" s="29">
        <f t="shared" si="5"/>
        <v>1200</v>
      </c>
      <c r="J25" s="29">
        <f t="shared" si="5"/>
        <v>3240</v>
      </c>
      <c r="K25" s="29">
        <f t="shared" si="5"/>
        <v>3240</v>
      </c>
      <c r="L25" s="29">
        <f t="shared" si="6"/>
        <v>960</v>
      </c>
      <c r="M25" s="29">
        <f t="shared" si="6"/>
        <v>640</v>
      </c>
      <c r="N25" s="29">
        <f t="shared" si="6"/>
        <v>0</v>
      </c>
      <c r="O25" s="93">
        <f t="shared" si="6"/>
        <v>0</v>
      </c>
      <c r="P25" s="97">
        <f t="shared" si="2"/>
        <v>9920</v>
      </c>
    </row>
    <row r="26" spans="2:18" ht="17" x14ac:dyDescent="0.2">
      <c r="B26" s="119"/>
      <c r="C26" s="72" t="str">
        <f t="shared" si="3"/>
        <v>Porcherie 45m2</v>
      </c>
      <c r="D26" s="28">
        <f t="shared" si="4"/>
        <v>0</v>
      </c>
      <c r="E26" s="29">
        <f t="shared" si="4"/>
        <v>0</v>
      </c>
      <c r="F26" s="29">
        <f t="shared" si="4"/>
        <v>0</v>
      </c>
      <c r="G26" s="29">
        <f t="shared" si="4"/>
        <v>0</v>
      </c>
      <c r="H26" s="29">
        <f t="shared" si="4"/>
        <v>600</v>
      </c>
      <c r="I26" s="29">
        <f t="shared" si="5"/>
        <v>950</v>
      </c>
      <c r="J26" s="29">
        <f t="shared" si="5"/>
        <v>2565</v>
      </c>
      <c r="K26" s="29">
        <f t="shared" si="5"/>
        <v>2565</v>
      </c>
      <c r="L26" s="29">
        <f t="shared" si="6"/>
        <v>900</v>
      </c>
      <c r="M26" s="29">
        <f t="shared" si="6"/>
        <v>600</v>
      </c>
      <c r="N26" s="29">
        <f t="shared" si="6"/>
        <v>0</v>
      </c>
      <c r="O26" s="93">
        <f t="shared" si="6"/>
        <v>0</v>
      </c>
      <c r="P26" s="97">
        <f t="shared" si="2"/>
        <v>8180</v>
      </c>
    </row>
    <row r="27" spans="2:18" ht="17" x14ac:dyDescent="0.2">
      <c r="B27" s="119"/>
      <c r="C27" s="72" t="str">
        <f t="shared" si="3"/>
        <v>2 Studios RDC</v>
      </c>
      <c r="D27" s="28">
        <f t="shared" ref="D27:H28" si="7">D$21*$H10*2</f>
        <v>0</v>
      </c>
      <c r="E27" s="29">
        <f t="shared" si="7"/>
        <v>0</v>
      </c>
      <c r="F27" s="29">
        <f t="shared" si="7"/>
        <v>0</v>
      </c>
      <c r="G27" s="29">
        <f t="shared" si="7"/>
        <v>0</v>
      </c>
      <c r="H27" s="29">
        <f t="shared" si="7"/>
        <v>880</v>
      </c>
      <c r="I27" s="29">
        <f t="shared" ref="I27:L28" si="8">$I10*I21*2</f>
        <v>1300</v>
      </c>
      <c r="J27" s="29">
        <f t="shared" si="8"/>
        <v>3510</v>
      </c>
      <c r="K27" s="29">
        <f t="shared" si="8"/>
        <v>3510</v>
      </c>
      <c r="L27" s="29">
        <f t="shared" si="8"/>
        <v>1560</v>
      </c>
      <c r="M27" s="29">
        <f t="shared" ref="M27:O28" si="9">M$21*$H10*2</f>
        <v>880</v>
      </c>
      <c r="N27" s="29">
        <f t="shared" si="9"/>
        <v>0</v>
      </c>
      <c r="O27" s="93">
        <f t="shared" si="9"/>
        <v>0</v>
      </c>
      <c r="P27" s="97">
        <f t="shared" si="2"/>
        <v>11640</v>
      </c>
    </row>
    <row r="28" spans="2:18" ht="18" thickBot="1" x14ac:dyDescent="0.25">
      <c r="B28" s="119"/>
      <c r="C28" s="71" t="str">
        <f t="shared" si="3"/>
        <v>Cabanes</v>
      </c>
      <c r="D28" s="24">
        <f t="shared" si="7"/>
        <v>0</v>
      </c>
      <c r="E28" s="25">
        <f t="shared" si="7"/>
        <v>0</v>
      </c>
      <c r="F28" s="25">
        <f t="shared" si="7"/>
        <v>0</v>
      </c>
      <c r="G28" s="25">
        <f t="shared" si="7"/>
        <v>0</v>
      </c>
      <c r="H28" s="25">
        <f t="shared" si="7"/>
        <v>0</v>
      </c>
      <c r="I28" s="25">
        <f t="shared" si="8"/>
        <v>0</v>
      </c>
      <c r="J28" s="25">
        <f t="shared" si="8"/>
        <v>0</v>
      </c>
      <c r="K28" s="25">
        <f t="shared" si="8"/>
        <v>0</v>
      </c>
      <c r="L28" s="25">
        <f t="shared" si="8"/>
        <v>0</v>
      </c>
      <c r="M28" s="25">
        <f t="shared" si="9"/>
        <v>0</v>
      </c>
      <c r="N28" s="25">
        <f t="shared" si="9"/>
        <v>0</v>
      </c>
      <c r="O28" s="94">
        <f t="shared" si="9"/>
        <v>0</v>
      </c>
      <c r="P28" s="98">
        <f t="shared" ref="P28" si="10">SUM(D28:O28)</f>
        <v>0</v>
      </c>
    </row>
    <row r="29" spans="2:18" ht="18" thickBot="1" x14ac:dyDescent="0.25">
      <c r="B29" s="120"/>
      <c r="C29" s="73" t="s">
        <v>5</v>
      </c>
      <c r="D29" s="87">
        <f>SUM(D23:D28)</f>
        <v>0</v>
      </c>
      <c r="E29" s="87">
        <f t="shared" ref="E29:O29" si="11">SUM(E23:E28)</f>
        <v>0</v>
      </c>
      <c r="F29" s="87">
        <f t="shared" si="11"/>
        <v>0</v>
      </c>
      <c r="G29" s="87">
        <f t="shared" si="11"/>
        <v>0</v>
      </c>
      <c r="H29" s="87">
        <f t="shared" si="11"/>
        <v>5520</v>
      </c>
      <c r="I29" s="87">
        <f t="shared" si="11"/>
        <v>9900</v>
      </c>
      <c r="J29" s="87">
        <f t="shared" si="11"/>
        <v>26730</v>
      </c>
      <c r="K29" s="87">
        <f t="shared" si="11"/>
        <v>26730</v>
      </c>
      <c r="L29" s="87">
        <f t="shared" si="11"/>
        <v>8520</v>
      </c>
      <c r="M29" s="87">
        <f t="shared" si="11"/>
        <v>5520</v>
      </c>
      <c r="N29" s="87">
        <f t="shared" si="11"/>
        <v>0</v>
      </c>
      <c r="O29" s="95">
        <f t="shared" si="11"/>
        <v>0</v>
      </c>
      <c r="P29" s="88">
        <f t="shared" si="2"/>
        <v>82920</v>
      </c>
      <c r="Q29" s="110">
        <f>P29/C12</f>
        <v>7.1840101193003131E-2</v>
      </c>
    </row>
    <row r="30" spans="2:18" ht="17" x14ac:dyDescent="0.2">
      <c r="B30" s="121" t="s">
        <v>17</v>
      </c>
      <c r="C30" s="62" t="s">
        <v>14</v>
      </c>
      <c r="D30" s="42">
        <f t="shared" ref="D30:O30" si="12">$M$13</f>
        <v>1974.3583333333336</v>
      </c>
      <c r="E30" s="89">
        <f t="shared" si="12"/>
        <v>1974.3583333333336</v>
      </c>
      <c r="F30" s="89">
        <f t="shared" si="12"/>
        <v>1974.3583333333336</v>
      </c>
      <c r="G30" s="89">
        <f t="shared" si="12"/>
        <v>1974.3583333333336</v>
      </c>
      <c r="H30" s="89">
        <f t="shared" si="12"/>
        <v>1974.3583333333336</v>
      </c>
      <c r="I30" s="89">
        <f t="shared" si="12"/>
        <v>1974.3583333333336</v>
      </c>
      <c r="J30" s="89">
        <f t="shared" si="12"/>
        <v>1974.3583333333336</v>
      </c>
      <c r="K30" s="89">
        <f t="shared" si="12"/>
        <v>1974.3583333333336</v>
      </c>
      <c r="L30" s="89">
        <f t="shared" si="12"/>
        <v>1974.3583333333336</v>
      </c>
      <c r="M30" s="89">
        <f t="shared" si="12"/>
        <v>1974.3583333333336</v>
      </c>
      <c r="N30" s="89">
        <f t="shared" si="12"/>
        <v>1974.3583333333336</v>
      </c>
      <c r="O30" s="96">
        <f t="shared" si="12"/>
        <v>1974.3583333333336</v>
      </c>
      <c r="P30" s="23">
        <f t="shared" si="2"/>
        <v>23692.300000000003</v>
      </c>
    </row>
    <row r="31" spans="2:18" ht="17" x14ac:dyDescent="0.2">
      <c r="B31" s="122"/>
      <c r="C31" s="69" t="s">
        <v>15</v>
      </c>
      <c r="D31" s="28">
        <v>2488</v>
      </c>
      <c r="E31" s="29">
        <v>2488</v>
      </c>
      <c r="F31" s="29">
        <v>2488</v>
      </c>
      <c r="G31" s="29">
        <v>2488</v>
      </c>
      <c r="H31" s="29">
        <v>2488</v>
      </c>
      <c r="I31" s="29">
        <v>2488</v>
      </c>
      <c r="J31" s="29">
        <v>2488</v>
      </c>
      <c r="K31" s="29">
        <v>2488</v>
      </c>
      <c r="L31" s="29">
        <v>2488</v>
      </c>
      <c r="M31" s="29">
        <v>2488</v>
      </c>
      <c r="N31" s="29">
        <v>2488</v>
      </c>
      <c r="O31" s="93">
        <v>2488</v>
      </c>
      <c r="P31" s="97">
        <f t="shared" si="2"/>
        <v>29856</v>
      </c>
      <c r="Q31" s="111">
        <f>P31/5</f>
        <v>5971.2</v>
      </c>
      <c r="R31" t="s">
        <v>64</v>
      </c>
    </row>
    <row r="32" spans="2:18" ht="18" thickBot="1" x14ac:dyDescent="0.25">
      <c r="B32" s="122"/>
      <c r="C32" s="99" t="s">
        <v>29</v>
      </c>
      <c r="D32" s="24">
        <f>25%*D29</f>
        <v>0</v>
      </c>
      <c r="E32" s="25">
        <f t="shared" ref="E32:O32" si="13">25%*E29</f>
        <v>0</v>
      </c>
      <c r="F32" s="25">
        <f t="shared" si="13"/>
        <v>0</v>
      </c>
      <c r="G32" s="25">
        <f t="shared" si="13"/>
        <v>0</v>
      </c>
      <c r="H32" s="25">
        <f t="shared" si="13"/>
        <v>1380</v>
      </c>
      <c r="I32" s="25">
        <f t="shared" si="13"/>
        <v>2475</v>
      </c>
      <c r="J32" s="25">
        <f t="shared" si="13"/>
        <v>6682.5</v>
      </c>
      <c r="K32" s="25">
        <f t="shared" si="13"/>
        <v>6682.5</v>
      </c>
      <c r="L32" s="25">
        <f t="shared" si="13"/>
        <v>2130</v>
      </c>
      <c r="M32" s="25">
        <f t="shared" si="13"/>
        <v>1380</v>
      </c>
      <c r="N32" s="25">
        <f t="shared" si="13"/>
        <v>0</v>
      </c>
      <c r="O32" s="94">
        <f t="shared" si="13"/>
        <v>0</v>
      </c>
      <c r="P32" s="98">
        <f t="shared" si="2"/>
        <v>20730</v>
      </c>
    </row>
    <row r="33" spans="2:16" ht="18" thickBot="1" x14ac:dyDescent="0.25">
      <c r="B33" s="117"/>
      <c r="C33" s="74" t="s">
        <v>5</v>
      </c>
      <c r="D33" s="84">
        <f>SUM(D30:D32)</f>
        <v>4462.3583333333336</v>
      </c>
      <c r="E33" s="85">
        <f t="shared" ref="E33:O33" si="14">SUM(E30:E32)</f>
        <v>4462.3583333333336</v>
      </c>
      <c r="F33" s="85">
        <f t="shared" si="14"/>
        <v>4462.3583333333336</v>
      </c>
      <c r="G33" s="85">
        <f t="shared" si="14"/>
        <v>4462.3583333333336</v>
      </c>
      <c r="H33" s="85">
        <f t="shared" si="14"/>
        <v>5842.3583333333336</v>
      </c>
      <c r="I33" s="85">
        <f t="shared" si="14"/>
        <v>6937.3583333333336</v>
      </c>
      <c r="J33" s="85">
        <f t="shared" si="14"/>
        <v>11144.858333333334</v>
      </c>
      <c r="K33" s="85">
        <f t="shared" si="14"/>
        <v>11144.858333333334</v>
      </c>
      <c r="L33" s="85">
        <f t="shared" si="14"/>
        <v>6592.3583333333336</v>
      </c>
      <c r="M33" s="85">
        <f t="shared" si="14"/>
        <v>5842.3583333333336</v>
      </c>
      <c r="N33" s="85">
        <f t="shared" si="14"/>
        <v>4462.3583333333336</v>
      </c>
      <c r="O33" s="86">
        <f t="shared" si="14"/>
        <v>4462.3583333333336</v>
      </c>
      <c r="P33" s="55">
        <f t="shared" si="2"/>
        <v>74278.300000000017</v>
      </c>
    </row>
    <row r="34" spans="2:16" ht="35" thickBot="1" x14ac:dyDescent="0.25">
      <c r="B34" s="47" t="s">
        <v>18</v>
      </c>
      <c r="C34" s="68" t="s">
        <v>5</v>
      </c>
      <c r="D34" s="43">
        <f t="shared" ref="D34:O34" si="15">D29-D33</f>
        <v>-4462.3583333333336</v>
      </c>
      <c r="E34" s="44">
        <f t="shared" si="15"/>
        <v>-4462.3583333333336</v>
      </c>
      <c r="F34" s="44">
        <f t="shared" si="15"/>
        <v>-4462.3583333333336</v>
      </c>
      <c r="G34" s="44">
        <f t="shared" si="15"/>
        <v>-4462.3583333333336</v>
      </c>
      <c r="H34" s="44">
        <f t="shared" si="15"/>
        <v>-322.35833333333358</v>
      </c>
      <c r="I34" s="44">
        <f t="shared" si="15"/>
        <v>2962.6416666666664</v>
      </c>
      <c r="J34" s="44">
        <f t="shared" si="15"/>
        <v>15585.141666666666</v>
      </c>
      <c r="K34" s="44">
        <f t="shared" si="15"/>
        <v>15585.141666666666</v>
      </c>
      <c r="L34" s="44">
        <f t="shared" si="15"/>
        <v>1927.6416666666664</v>
      </c>
      <c r="M34" s="44">
        <f t="shared" si="15"/>
        <v>-322.35833333333358</v>
      </c>
      <c r="N34" s="44">
        <f t="shared" si="15"/>
        <v>-4462.3583333333336</v>
      </c>
      <c r="O34" s="45">
        <f t="shared" si="15"/>
        <v>-4462.3583333333336</v>
      </c>
      <c r="P34" s="46">
        <f t="shared" si="2"/>
        <v>8641.6999999999971</v>
      </c>
    </row>
  </sheetData>
  <mergeCells count="7">
    <mergeCell ref="C18:P18"/>
    <mergeCell ref="B20:B22"/>
    <mergeCell ref="B23:B29"/>
    <mergeCell ref="B30:B33"/>
    <mergeCell ref="G4:I4"/>
    <mergeCell ref="L4:M4"/>
    <mergeCell ref="B4:E4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EDB53-B1DF-D546-BEEB-9C979BDF6386}">
  <dimension ref="C3:S11"/>
  <sheetViews>
    <sheetView topLeftCell="B1" workbookViewId="0">
      <selection activeCell="S10" sqref="S10"/>
    </sheetView>
  </sheetViews>
  <sheetFormatPr baseColWidth="10" defaultRowHeight="16" x14ac:dyDescent="0.2"/>
  <cols>
    <col min="3" max="3" width="33.83203125" bestFit="1" customWidth="1"/>
  </cols>
  <sheetData>
    <row r="3" spans="3:19" ht="17" thickBot="1" x14ac:dyDescent="0.25"/>
    <row r="4" spans="3:19" ht="51" x14ac:dyDescent="0.2">
      <c r="C4" s="76"/>
      <c r="D4" s="77"/>
      <c r="E4" s="78" t="s">
        <v>33</v>
      </c>
      <c r="F4" s="78" t="s">
        <v>48</v>
      </c>
      <c r="G4" s="78" t="s">
        <v>8</v>
      </c>
      <c r="H4" s="78" t="s">
        <v>34</v>
      </c>
      <c r="I4" s="78" t="s">
        <v>35</v>
      </c>
      <c r="J4" s="78" t="s">
        <v>36</v>
      </c>
      <c r="K4" s="78" t="s">
        <v>49</v>
      </c>
      <c r="L4" s="78" t="s">
        <v>37</v>
      </c>
      <c r="M4" s="78" t="s">
        <v>38</v>
      </c>
      <c r="N4" s="78" t="s">
        <v>39</v>
      </c>
      <c r="O4" s="78" t="s">
        <v>40</v>
      </c>
      <c r="P4" s="78" t="s">
        <v>50</v>
      </c>
      <c r="Q4" s="77" t="s">
        <v>41</v>
      </c>
      <c r="R4" s="77" t="s">
        <v>45</v>
      </c>
      <c r="S4" s="78" t="s">
        <v>5</v>
      </c>
    </row>
    <row r="5" spans="3:19" x14ac:dyDescent="0.2">
      <c r="C5" s="79" t="s">
        <v>32</v>
      </c>
      <c r="D5" s="80" t="s">
        <v>42</v>
      </c>
      <c r="E5" s="81">
        <v>5000</v>
      </c>
      <c r="F5" s="81">
        <v>5000</v>
      </c>
      <c r="G5" s="81">
        <v>1000</v>
      </c>
      <c r="H5" s="81">
        <v>6000</v>
      </c>
      <c r="I5" s="81">
        <v>3500</v>
      </c>
      <c r="J5" s="81">
        <v>2500</v>
      </c>
      <c r="K5" s="81">
        <f>50*70</f>
        <v>3500</v>
      </c>
      <c r="L5" s="81">
        <v>2500</v>
      </c>
      <c r="M5" s="81">
        <v>2000</v>
      </c>
      <c r="N5" s="81">
        <v>5000</v>
      </c>
      <c r="O5" s="81"/>
      <c r="P5" s="81">
        <v>5000</v>
      </c>
      <c r="Q5" s="81">
        <f>(SUM(E5:O5)*10%)</f>
        <v>3600</v>
      </c>
      <c r="R5" s="81">
        <f>1700*2+4000+1500</f>
        <v>8900</v>
      </c>
      <c r="S5" s="81">
        <f>SUM(E5:Q5)</f>
        <v>44600</v>
      </c>
    </row>
    <row r="6" spans="3:19" x14ac:dyDescent="0.2">
      <c r="C6" s="79" t="s">
        <v>60</v>
      </c>
      <c r="D6" s="80" t="s">
        <v>46</v>
      </c>
      <c r="E6" s="81">
        <v>0</v>
      </c>
      <c r="F6" s="81">
        <v>0</v>
      </c>
      <c r="G6" s="81">
        <v>5000</v>
      </c>
      <c r="H6" s="81">
        <v>0</v>
      </c>
      <c r="I6" s="81">
        <v>0</v>
      </c>
      <c r="J6" s="81">
        <v>0</v>
      </c>
      <c r="L6" s="81">
        <v>0</v>
      </c>
      <c r="M6" s="81">
        <v>0</v>
      </c>
      <c r="N6" s="81">
        <v>0</v>
      </c>
      <c r="O6" s="81"/>
      <c r="P6" s="81">
        <f>3*2000</f>
        <v>6000</v>
      </c>
      <c r="Q6" s="81">
        <f t="shared" ref="Q6:Q9" si="0">(SUM(E6:O6)*10%)</f>
        <v>500</v>
      </c>
      <c r="R6" s="81">
        <f>3*1500</f>
        <v>4500</v>
      </c>
      <c r="S6" s="81">
        <f t="shared" ref="S6:S10" si="1">SUM(E6:Q6)</f>
        <v>11500</v>
      </c>
    </row>
    <row r="7" spans="3:19" x14ac:dyDescent="0.2">
      <c r="C7" s="79" t="s">
        <v>44</v>
      </c>
      <c r="D7" s="80" t="s">
        <v>47</v>
      </c>
      <c r="E7" s="81">
        <v>5000</v>
      </c>
      <c r="F7" s="81">
        <v>8000</v>
      </c>
      <c r="G7" s="81">
        <v>7000</v>
      </c>
      <c r="H7" s="81">
        <v>3500</v>
      </c>
      <c r="I7" s="81"/>
      <c r="J7" s="81">
        <v>3000</v>
      </c>
      <c r="K7" s="81">
        <f>80*70</f>
        <v>5600</v>
      </c>
      <c r="L7" s="81">
        <v>7000</v>
      </c>
      <c r="M7" s="81">
        <v>5000</v>
      </c>
      <c r="N7" s="81">
        <v>4000</v>
      </c>
      <c r="O7" s="81"/>
      <c r="P7" s="81"/>
      <c r="Q7" s="81">
        <f t="shared" si="0"/>
        <v>4810</v>
      </c>
      <c r="R7" s="81">
        <f>1700*2+2*2500</f>
        <v>8400</v>
      </c>
      <c r="S7" s="81">
        <f t="shared" si="1"/>
        <v>52910</v>
      </c>
    </row>
    <row r="8" spans="3:19" x14ac:dyDescent="0.2">
      <c r="C8" s="79" t="s">
        <v>52</v>
      </c>
      <c r="D8" s="80" t="s">
        <v>58</v>
      </c>
      <c r="E8" s="81"/>
      <c r="F8" s="81"/>
      <c r="G8" s="81">
        <v>2000</v>
      </c>
      <c r="H8" s="81"/>
      <c r="I8" s="81"/>
      <c r="J8" s="81">
        <v>2000</v>
      </c>
      <c r="K8" s="81"/>
      <c r="L8" s="81">
        <v>3000</v>
      </c>
      <c r="M8" s="81">
        <v>2000</v>
      </c>
      <c r="N8" s="81">
        <v>2000</v>
      </c>
      <c r="O8" s="81"/>
      <c r="P8" s="81"/>
      <c r="Q8" s="81">
        <f t="shared" si="0"/>
        <v>1100</v>
      </c>
      <c r="R8" s="81">
        <f>5*1500+3000</f>
        <v>10500</v>
      </c>
      <c r="S8" s="81">
        <f t="shared" si="1"/>
        <v>12100</v>
      </c>
    </row>
    <row r="9" spans="3:19" x14ac:dyDescent="0.2">
      <c r="C9" s="79" t="s">
        <v>61</v>
      </c>
      <c r="D9" s="80"/>
      <c r="E9" s="81"/>
      <c r="F9" s="81"/>
      <c r="G9" s="81"/>
      <c r="H9" s="81">
        <v>5000</v>
      </c>
      <c r="I9" s="81"/>
      <c r="J9" s="81"/>
      <c r="K9" s="81">
        <f>70*70</f>
        <v>4900</v>
      </c>
      <c r="L9" s="81">
        <v>5000</v>
      </c>
      <c r="M9" s="81"/>
      <c r="N9" s="81">
        <v>2500</v>
      </c>
      <c r="O9" s="81"/>
      <c r="P9" s="81"/>
      <c r="Q9" s="81">
        <f t="shared" si="0"/>
        <v>1740</v>
      </c>
      <c r="R9" s="81">
        <v>6000</v>
      </c>
      <c r="S9" s="81">
        <f>SUM(E9:R9)</f>
        <v>25140</v>
      </c>
    </row>
    <row r="10" spans="3:19" ht="17" thickBot="1" x14ac:dyDescent="0.25">
      <c r="C10" s="79" t="s">
        <v>43</v>
      </c>
      <c r="D10" s="82" t="s">
        <v>42</v>
      </c>
      <c r="E10" s="81">
        <v>5000</v>
      </c>
      <c r="F10" s="81">
        <v>6000</v>
      </c>
      <c r="G10" s="81">
        <v>6000</v>
      </c>
      <c r="H10" s="81">
        <v>6000</v>
      </c>
      <c r="I10" s="81">
        <f>6000</f>
        <v>6000</v>
      </c>
      <c r="J10" s="81">
        <v>3000</v>
      </c>
      <c r="K10" s="81">
        <f>70*50</f>
        <v>3500</v>
      </c>
      <c r="L10" s="81">
        <v>5000</v>
      </c>
      <c r="M10" s="81">
        <v>3000</v>
      </c>
      <c r="N10" s="81">
        <v>4000</v>
      </c>
      <c r="O10" s="81">
        <v>25000</v>
      </c>
      <c r="P10" s="81">
        <v>4000</v>
      </c>
      <c r="Q10" s="81">
        <f t="shared" ref="Q10" si="2">(SUM(E10:O10)*10%)</f>
        <v>7250</v>
      </c>
      <c r="R10" s="81">
        <f>R5</f>
        <v>8900</v>
      </c>
      <c r="S10" s="81">
        <f t="shared" si="1"/>
        <v>83750</v>
      </c>
    </row>
    <row r="11" spans="3:19" ht="17" thickBot="1" x14ac:dyDescent="0.25">
      <c r="C11" s="128" t="s">
        <v>5</v>
      </c>
      <c r="D11" s="129"/>
      <c r="E11" s="83">
        <f>SUM(E5:E10)</f>
        <v>15000</v>
      </c>
      <c r="F11" s="83">
        <f>SUM(F5:F10)</f>
        <v>19000</v>
      </c>
      <c r="G11" s="83">
        <f>SUM(G5:G10)</f>
        <v>21000</v>
      </c>
      <c r="H11" s="83">
        <f>SUM(H5:H10)</f>
        <v>20500</v>
      </c>
      <c r="I11" s="83">
        <f>SUM(I5:I10)</f>
        <v>9500</v>
      </c>
      <c r="J11" s="83">
        <f>SUM(J5:J10)</f>
        <v>10500</v>
      </c>
      <c r="K11" s="83">
        <f>SUM(K5:K10)</f>
        <v>17500</v>
      </c>
      <c r="L11" s="83">
        <f>SUM(L5:L10)</f>
        <v>22500</v>
      </c>
      <c r="M11" s="83">
        <f>SUM(M5:M10)</f>
        <v>12000</v>
      </c>
      <c r="N11" s="83">
        <f t="shared" ref="N11:O11" si="3">SUM(N5:N10)</f>
        <v>17500</v>
      </c>
      <c r="O11" s="83">
        <f t="shared" si="3"/>
        <v>25000</v>
      </c>
      <c r="P11" s="83"/>
      <c r="Q11" s="83">
        <f>SUM(Q5:Q10)</f>
        <v>19000</v>
      </c>
      <c r="R11" s="83"/>
      <c r="S11" s="83">
        <f>SUM(S5:S10)</f>
        <v>230000</v>
      </c>
    </row>
  </sheetData>
  <mergeCells count="1">
    <mergeCell ref="C11:D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Business Plan</vt:lpstr>
      <vt:lpstr>TRAVAUX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2021-09-13T17:37:50Z</cp:lastPrinted>
  <dcterms:created xsi:type="dcterms:W3CDTF">2021-07-18T08:42:11Z</dcterms:created>
  <dcterms:modified xsi:type="dcterms:W3CDTF">2022-04-11T09:53:17Z</dcterms:modified>
</cp:coreProperties>
</file>